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13CE788D-F9EE-4B2C-AF2E-43BDD13EA2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чет дороги 2021" sheetId="2" r:id="rId1"/>
  </sheets>
  <calcPr calcId="181029" fullPrecision="0" concurrentCalc="0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" i="2" l="1"/>
  <c r="P5" i="2"/>
  <c r="P7" i="2"/>
  <c r="P9" i="2"/>
  <c r="P11" i="2"/>
  <c r="P13" i="2"/>
  <c r="P15" i="2"/>
  <c r="P17" i="2"/>
  <c r="P18" i="2"/>
  <c r="P19" i="2"/>
  <c r="Q5" i="2"/>
  <c r="Q7" i="2"/>
  <c r="Q9" i="2"/>
  <c r="Q11" i="2"/>
  <c r="Q13" i="2"/>
  <c r="Q15" i="2"/>
  <c r="Q17" i="2"/>
  <c r="Q18" i="2"/>
  <c r="Q19" i="2"/>
  <c r="R5" i="2"/>
  <c r="R7" i="2"/>
  <c r="R9" i="2"/>
  <c r="R11" i="2"/>
  <c r="R13" i="2"/>
  <c r="R15" i="2"/>
  <c r="R17" i="2"/>
  <c r="R18" i="2"/>
  <c r="R19" i="2"/>
  <c r="S5" i="2"/>
  <c r="S7" i="2"/>
  <c r="S9" i="2"/>
  <c r="S11" i="2"/>
  <c r="S13" i="2"/>
  <c r="S15" i="2"/>
  <c r="S17" i="2"/>
  <c r="S18" i="2"/>
  <c r="S19" i="2"/>
  <c r="T5" i="2"/>
  <c r="T7" i="2"/>
  <c r="T9" i="2"/>
  <c r="T11" i="2"/>
  <c r="T13" i="2"/>
  <c r="T15" i="2"/>
  <c r="T17" i="2"/>
  <c r="T18" i="2"/>
  <c r="T19" i="2"/>
  <c r="U5" i="2"/>
  <c r="U7" i="2"/>
  <c r="U9" i="2"/>
  <c r="U11" i="2"/>
  <c r="U13" i="2"/>
  <c r="U15" i="2"/>
  <c r="U17" i="2"/>
  <c r="U18" i="2"/>
  <c r="U19" i="2"/>
  <c r="O5" i="2"/>
  <c r="O7" i="2"/>
  <c r="O9" i="2"/>
  <c r="O11" i="2"/>
  <c r="O13" i="2"/>
  <c r="O15" i="2"/>
  <c r="O17" i="2"/>
  <c r="O18" i="2"/>
  <c r="O19" i="2"/>
  <c r="U16" i="2"/>
  <c r="U12" i="2"/>
  <c r="O10" i="2"/>
  <c r="O8" i="2"/>
  <c r="U6" i="2"/>
  <c r="U8" i="2"/>
  <c r="U10" i="2"/>
  <c r="U14" i="2"/>
  <c r="O6" i="2"/>
  <c r="O12" i="2"/>
  <c r="O14" i="2"/>
  <c r="O16" i="2"/>
  <c r="P8" i="2"/>
  <c r="P10" i="2"/>
  <c r="P12" i="2"/>
  <c r="P14" i="2"/>
  <c r="P16" i="2"/>
  <c r="P6" i="2"/>
  <c r="V7" i="2"/>
  <c r="V9" i="2"/>
  <c r="V11" i="2"/>
  <c r="V13" i="2"/>
  <c r="V15" i="2"/>
  <c r="V17" i="2"/>
  <c r="V6" i="2"/>
  <c r="V8" i="2"/>
  <c r="V10" i="2"/>
  <c r="V12" i="2"/>
  <c r="V14" i="2"/>
  <c r="V16" i="2"/>
  <c r="L5" i="2"/>
  <c r="E5" i="2"/>
  <c r="E7" i="2"/>
  <c r="E9" i="2"/>
  <c r="E11" i="2"/>
  <c r="E13" i="2"/>
  <c r="L15" i="2"/>
  <c r="E15" i="2"/>
  <c r="E17" i="2"/>
  <c r="F17" i="2"/>
  <c r="E18" i="2"/>
  <c r="F18" i="2"/>
  <c r="F19" i="2"/>
  <c r="G5" i="2"/>
  <c r="G7" i="2"/>
  <c r="G9" i="2"/>
  <c r="G11" i="2"/>
  <c r="G13" i="2"/>
  <c r="G15" i="2"/>
  <c r="G17" i="2"/>
  <c r="G18" i="2"/>
  <c r="G19" i="2"/>
  <c r="H5" i="2"/>
  <c r="H7" i="2"/>
  <c r="H9" i="2"/>
  <c r="H13" i="2"/>
  <c r="H11" i="2"/>
  <c r="H15" i="2"/>
  <c r="H17" i="2"/>
  <c r="H18" i="2"/>
  <c r="H19" i="2"/>
  <c r="I5" i="2"/>
  <c r="I7" i="2"/>
  <c r="I9" i="2"/>
  <c r="I13" i="2"/>
  <c r="I11" i="2"/>
  <c r="I15" i="2"/>
  <c r="I17" i="2"/>
  <c r="I18" i="2"/>
  <c r="I19" i="2"/>
  <c r="J17" i="2"/>
  <c r="J18" i="2"/>
  <c r="J19" i="2"/>
  <c r="K17" i="2"/>
  <c r="K18" i="2"/>
  <c r="K19" i="2"/>
  <c r="E19" i="2"/>
  <c r="H16" i="2"/>
  <c r="E16" i="2"/>
  <c r="F16" i="2"/>
  <c r="G16" i="2"/>
  <c r="I16" i="2"/>
  <c r="J16" i="2"/>
  <c r="K16" i="2"/>
  <c r="L16" i="2"/>
  <c r="I6" i="2"/>
  <c r="I8" i="2"/>
  <c r="I10" i="2"/>
  <c r="I12" i="2"/>
  <c r="I14" i="2"/>
  <c r="H6" i="2"/>
  <c r="H8" i="2"/>
  <c r="H10" i="2"/>
  <c r="H12" i="2"/>
  <c r="H14" i="2"/>
  <c r="E6" i="2"/>
  <c r="F6" i="2"/>
  <c r="G6" i="2"/>
  <c r="J6" i="2"/>
  <c r="K6" i="2"/>
  <c r="L6" i="2"/>
  <c r="E8" i="2"/>
  <c r="F8" i="2"/>
  <c r="G8" i="2"/>
  <c r="J8" i="2"/>
  <c r="K8" i="2"/>
  <c r="L8" i="2"/>
  <c r="E10" i="2"/>
  <c r="F10" i="2"/>
  <c r="G10" i="2"/>
  <c r="J10" i="2"/>
  <c r="K10" i="2"/>
  <c r="L10" i="2"/>
  <c r="E12" i="2"/>
  <c r="F12" i="2"/>
  <c r="G12" i="2"/>
  <c r="J12" i="2"/>
  <c r="K12" i="2"/>
  <c r="L12" i="2"/>
  <c r="E14" i="2"/>
  <c r="F14" i="2"/>
  <c r="G14" i="2"/>
  <c r="J14" i="2"/>
  <c r="K14" i="2"/>
  <c r="L14" i="2"/>
  <c r="L7" i="2"/>
  <c r="L9" i="2"/>
  <c r="L11" i="2"/>
  <c r="L13" i="2"/>
  <c r="L17" i="2"/>
  <c r="L18" i="2"/>
  <c r="L19" i="2"/>
  <c r="W5" i="2"/>
  <c r="W7" i="2"/>
  <c r="W9" i="2"/>
  <c r="W11" i="2"/>
  <c r="W13" i="2"/>
  <c r="W15" i="2"/>
  <c r="F7" i="2"/>
  <c r="J7" i="2"/>
  <c r="K7" i="2"/>
  <c r="F9" i="2"/>
  <c r="J9" i="2"/>
  <c r="K9" i="2"/>
  <c r="F11" i="2"/>
  <c r="J11" i="2"/>
  <c r="K11" i="2"/>
  <c r="F13" i="2"/>
  <c r="J13" i="2"/>
  <c r="K13" i="2"/>
  <c r="F15" i="2"/>
  <c r="J15" i="2"/>
  <c r="K15" i="2"/>
  <c r="F5" i="2"/>
  <c r="J5" i="2"/>
  <c r="K5" i="2"/>
  <c r="Q16" i="2"/>
  <c r="R16" i="2"/>
  <c r="S16" i="2"/>
  <c r="T16" i="2"/>
  <c r="W16" i="2"/>
  <c r="Q14" i="2"/>
  <c r="R14" i="2"/>
  <c r="S14" i="2"/>
  <c r="T14" i="2"/>
  <c r="W14" i="2"/>
  <c r="Q12" i="2"/>
  <c r="R12" i="2"/>
  <c r="S12" i="2"/>
  <c r="T12" i="2"/>
  <c r="W12" i="2"/>
  <c r="Q10" i="2"/>
  <c r="R10" i="2"/>
  <c r="S10" i="2"/>
  <c r="T10" i="2"/>
  <c r="W10" i="2"/>
  <c r="Q8" i="2"/>
  <c r="R8" i="2"/>
  <c r="S8" i="2"/>
  <c r="T8" i="2"/>
  <c r="W8" i="2"/>
  <c r="Q6" i="2"/>
  <c r="R6" i="2"/>
  <c r="S6" i="2"/>
  <c r="T6" i="2"/>
  <c r="W6" i="2"/>
  <c r="W17" i="2"/>
  <c r="W19" i="2"/>
  <c r="V19" i="2"/>
  <c r="D16" i="2"/>
  <c r="D15" i="2"/>
  <c r="D14" i="2"/>
  <c r="D13" i="2"/>
  <c r="D12" i="2"/>
  <c r="D11" i="2"/>
  <c r="D10" i="2"/>
  <c r="D9" i="2"/>
  <c r="D8" i="2"/>
  <c r="D7" i="2"/>
  <c r="D6" i="2"/>
  <c r="D5" i="2"/>
  <c r="V18" i="2"/>
  <c r="W18" i="2"/>
</calcChain>
</file>

<file path=xl/sharedStrings.xml><?xml version="1.0" encoding="utf-8"?>
<sst xmlns="http://schemas.openxmlformats.org/spreadsheetml/2006/main" count="44" uniqueCount="35">
  <si>
    <t>м2</t>
  </si>
  <si>
    <t>предельный норматив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</si>
  <si>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</si>
  <si>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</si>
  <si>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</si>
  <si>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</si>
  <si>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</si>
  <si>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</si>
  <si>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</si>
  <si>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зимний период</t>
  </si>
  <si>
    <t>май</t>
  </si>
  <si>
    <t>июнь</t>
  </si>
  <si>
    <t xml:space="preserve"> июль</t>
  </si>
  <si>
    <t xml:space="preserve">август </t>
  </si>
  <si>
    <t>сентябрь</t>
  </si>
  <si>
    <t>итого зимний</t>
  </si>
  <si>
    <t>итого летний</t>
  </si>
  <si>
    <t>Летний период</t>
  </si>
  <si>
    <t>норматив /мес</t>
  </si>
  <si>
    <t>Итого без ндс</t>
  </si>
  <si>
    <t>Итого с ндс</t>
  </si>
  <si>
    <t>Наименоавание</t>
  </si>
  <si>
    <t>Заместитель начальника ОГХ МА МО г.Петергоф                                                                                                        О.В.Ковальчук</t>
  </si>
  <si>
    <t>Согласовано: Руководитель структурного подразделения - начальник ФЭО                                              А.В.Костарева</t>
  </si>
  <si>
    <t>ндс - 20 %</t>
  </si>
  <si>
    <t>уборка проезжей части автомобильных дорог гр В, в том числе:</t>
  </si>
  <si>
    <t>материалы, вывоз снега и смета</t>
  </si>
  <si>
    <t>уборка проезжей части автомобильных дорог гр Г, в том числе:</t>
  </si>
  <si>
    <t>уборка проезжей части автомобильных дорог гр Д, в том числе:</t>
  </si>
  <si>
    <t>уборка проезжей части автомобильных дорог гр Е, в том числе:</t>
  </si>
  <si>
    <t>уборка тротуаров класса 2, в том числе:</t>
  </si>
  <si>
    <t>уборка тротуаров класса I, в том числе:</t>
  </si>
  <si>
    <t>* Расчет стоимости на содержание автомобильных дорог в соответствии с Постановлением Правительства Санкт-Петербурга №779 от 26.06.2006 составлен на основании нормативов финансовых затрат, утвержденных распоряжением Комитета по  экономической политике и стратегическому планированию Санкт-Петербурга от 27.05.2020  №93-р "Об утверждении нормативов финансовых затрат на капитальный ремонт, ремонт и содержание автомобильных дорог регионального значения в  Санкт-Петербурге на 2021 год"</t>
  </si>
  <si>
    <t>всего за 2021 год</t>
  </si>
  <si>
    <t xml:space="preserve">         Расчет финансовых затрат на уборку автомобильных дорог расположенных в пределах границ муниципального образования город Петергоф в 2021 году  *                                                                                                                                                             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</si>
</sst>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1" fillId="2" borderId="7" xfId="0" applyFont="1" applyFill="1" applyBorder="1" applyAlignment="1">
      <alignment vertical="justify"/>
    </xf>
    <xf numFmtId="0" fontId="1" fillId="2" borderId="9" xfId="0" applyFont="1" applyFill="1" applyBorder="1" applyAlignment="1">
      <alignment vertical="justify"/>
    </xf>
    <xf numFmtId="0" fontId="1" fillId="2" borderId="11" xfId="0" applyFont="1" applyFill="1" applyBorder="1" applyAlignment="1">
      <alignment vertical="justify"/>
    </xf>
    <xf numFmtId="0" fontId="3" fillId="2" borderId="11" xfId="0" applyFont="1" applyFill="1" applyBorder="1" applyAlignment="1">
      <alignment vertical="justify"/>
    </xf>
    <xf numFmtId="2" fontId="7" fillId="2" borderId="2" xfId="0" applyNumberFormat="1" applyFont="1" applyFill="1" applyBorder="1" applyAlignment="1">
      <alignment vertical="justify"/>
    </xf>
    <xf numFmtId="2" fontId="7" fillId="2" borderId="27" xfId="0" applyNumberFormat="1" applyFont="1" applyFill="1" applyBorder="1" applyAlignment="1">
      <alignment vertical="justify"/>
    </xf>
    <xf numFmtId="2" fontId="8" fillId="2" borderId="12" xfId="0" applyNumberFormat="1" applyFont="1" applyFill="1" applyBorder="1" applyAlignment="1">
      <alignment vertical="justify"/>
    </xf>
    <xf numFmtId="2" fontId="8" fillId="2" borderId="13" xfId="0" applyNumberFormat="1" applyFont="1" applyFill="1" applyBorder="1" applyAlignment="1">
      <alignment vertical="justify"/>
    </xf>
    <xf numFmtId="2" fontId="8" fillId="2" borderId="2" xfId="0" applyNumberFormat="1" applyFont="1" applyFill="1" applyBorder="1" applyAlignment="1">
      <alignment vertical="justify"/>
    </xf>
    <xf numFmtId="2" fontId="8" fillId="2" borderId="14" xfId="0" applyNumberFormat="1" applyFont="1" applyFill="1" applyBorder="1" applyAlignment="1">
      <alignment vertical="justify"/>
    </xf>
    <xf numFmtId="1" fontId="7" fillId="2" borderId="17" xfId="0" applyNumberFormat="1" applyFont="1" applyFill="1" applyBorder="1" applyAlignment="1">
      <alignment vertical="justify"/>
    </xf>
    <xf numFmtId="2" fontId="7" fillId="2" borderId="18" xfId="0" applyNumberFormat="1" applyFont="1" applyFill="1" applyBorder="1" applyAlignment="1">
      <alignment vertical="justify"/>
    </xf>
    <xf numFmtId="2" fontId="7" fillId="2" borderId="21" xfId="0" applyNumberFormat="1" applyFont="1" applyFill="1" applyBorder="1" applyAlignment="1">
      <alignment vertical="justify"/>
    </xf>
    <xf numFmtId="2" fontId="7" fillId="2" borderId="19" xfId="0" applyNumberFormat="1" applyFont="1" applyFill="1" applyBorder="1" applyAlignment="1">
      <alignment vertical="justify"/>
    </xf>
    <xf numFmtId="2" fontId="7" fillId="2" borderId="17" xfId="0" applyNumberFormat="1" applyFont="1" applyFill="1" applyBorder="1" applyAlignment="1">
      <alignment vertical="justify"/>
    </xf>
    <xf numFmtId="2" fontId="7" fillId="2" borderId="20" xfId="0" applyNumberFormat="1" applyFont="1" applyFill="1" applyBorder="1" applyAlignment="1">
      <alignment vertical="justify"/>
    </xf>
    <xf numFmtId="2" fontId="7" fillId="2" borderId="30" xfId="0" applyNumberFormat="1" applyFont="1" applyFill="1" applyBorder="1" applyAlignment="1">
      <alignment vertical="justify"/>
    </xf>
    <xf numFmtId="1" fontId="7" fillId="2" borderId="1" xfId="0" applyNumberFormat="1" applyFont="1" applyFill="1" applyBorder="1" applyAlignment="1">
      <alignment vertical="justify"/>
    </xf>
    <xf numFmtId="2" fontId="7" fillId="2" borderId="8" xfId="0" applyNumberFormat="1" applyFont="1" applyFill="1" applyBorder="1" applyAlignment="1">
      <alignment vertical="justify"/>
    </xf>
    <xf numFmtId="2" fontId="7" fillId="2" borderId="4" xfId="0" applyNumberFormat="1" applyFont="1" applyFill="1" applyBorder="1" applyAlignment="1">
      <alignment vertical="justify"/>
    </xf>
    <xf numFmtId="2" fontId="7" fillId="2" borderId="1" xfId="0" applyNumberFormat="1" applyFont="1" applyFill="1" applyBorder="1" applyAlignment="1">
      <alignment vertical="justify"/>
    </xf>
    <xf numFmtId="2" fontId="7" fillId="2" borderId="3" xfId="0" applyNumberFormat="1" applyFont="1" applyFill="1" applyBorder="1" applyAlignment="1">
      <alignment vertical="justify"/>
    </xf>
    <xf numFmtId="2" fontId="7" fillId="2" borderId="31" xfId="0" applyNumberFormat="1" applyFont="1" applyFill="1" applyBorder="1" applyAlignment="1">
      <alignment vertical="justify"/>
    </xf>
    <xf numFmtId="2" fontId="7" fillId="2" borderId="12" xfId="0" applyNumberFormat="1" applyFont="1" applyFill="1" applyBorder="1" applyAlignment="1">
      <alignment vertical="justify"/>
    </xf>
    <xf numFmtId="2" fontId="7" fillId="2" borderId="13" xfId="0" applyNumberFormat="1" applyFont="1" applyFill="1" applyBorder="1" applyAlignment="1">
      <alignment vertical="justify"/>
    </xf>
    <xf numFmtId="2" fontId="7" fillId="2" borderId="14" xfId="0" applyNumberFormat="1" applyFont="1" applyFill="1" applyBorder="1" applyAlignment="1">
      <alignment vertical="justify"/>
    </xf>
    <xf numFmtId="0" fontId="6" fillId="2" borderId="2" xfId="0" applyFont="1" applyFill="1" applyBorder="1" applyAlignment="1">
      <alignment vertical="justify"/>
    </xf>
    <xf numFmtId="0" fontId="6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9" fillId="0" borderId="0" xfId="0" applyFont="1" applyAlignment="1">
      <alignment horizontal="justify" vertical="justify"/>
    </xf>
    <xf numFmtId="0" fontId="9" fillId="0" borderId="0" xfId="0" applyFont="1" applyAlignment="1">
      <alignment horizontal="left"/>
    </xf>
    <xf numFmtId="0" fontId="4" fillId="0" borderId="0" xfId="0" applyFont="1"/>
    <xf numFmtId="2" fontId="0" fillId="0" borderId="0" xfId="0" applyNumberFormat="1" applyFont="1"/>
    <xf numFmtId="2" fontId="7" fillId="2" borderId="37" xfId="0" applyNumberFormat="1" applyFont="1" applyFill="1" applyBorder="1" applyAlignment="1">
      <alignment vertical="justify"/>
    </xf>
    <xf numFmtId="2" fontId="7" fillId="2" borderId="35" xfId="0" applyNumberFormat="1" applyFont="1" applyFill="1" applyBorder="1" applyAlignment="1">
      <alignment vertical="justify"/>
    </xf>
    <xf numFmtId="2" fontId="7" fillId="2" borderId="36" xfId="0" applyNumberFormat="1" applyFont="1" applyFill="1" applyBorder="1" applyAlignment="1">
      <alignment vertical="justify"/>
    </xf>
    <xf numFmtId="2" fontId="7" fillId="2" borderId="34" xfId="0" applyNumberFormat="1" applyFont="1" applyFill="1" applyBorder="1" applyAlignment="1">
      <alignment vertical="justify"/>
    </xf>
    <xf numFmtId="2" fontId="10" fillId="2" borderId="21" xfId="0" applyNumberFormat="1" applyFont="1" applyFill="1" applyBorder="1" applyAlignment="1">
      <alignment vertical="justify"/>
    </xf>
    <xf numFmtId="2" fontId="7" fillId="2" borderId="32" xfId="0" applyNumberFormat="1" applyFont="1" applyFill="1" applyBorder="1" applyAlignment="1">
      <alignment vertical="justify"/>
    </xf>
    <xf numFmtId="2" fontId="8" fillId="2" borderId="32" xfId="0" applyNumberFormat="1" applyFont="1" applyFill="1" applyBorder="1" applyAlignment="1">
      <alignment vertical="justify"/>
    </xf>
    <xf numFmtId="0" fontId="6" fillId="2" borderId="27" xfId="0" applyFont="1" applyFill="1" applyBorder="1" applyAlignment="1">
      <alignment vertical="justify"/>
    </xf>
    <xf numFmtId="2" fontId="8" fillId="2" borderId="27" xfId="0" applyNumberFormat="1" applyFont="1" applyFill="1" applyBorder="1" applyAlignment="1">
      <alignment vertical="justify"/>
    </xf>
    <xf numFmtId="2" fontId="8" fillId="2" borderId="1" xfId="0" applyNumberFormat="1" applyFont="1" applyFill="1" applyBorder="1" applyAlignment="1">
      <alignment vertical="justify"/>
    </xf>
    <xf numFmtId="2" fontId="7" fillId="2" borderId="39" xfId="0" applyNumberFormat="1" applyFont="1" applyFill="1" applyBorder="1" applyAlignment="1">
      <alignment vertical="justify"/>
    </xf>
    <xf numFmtId="2" fontId="7" fillId="2" borderId="40" xfId="0" applyNumberFormat="1" applyFont="1" applyFill="1" applyBorder="1" applyAlignment="1">
      <alignment vertical="justify"/>
    </xf>
    <xf numFmtId="2" fontId="7" fillId="2" borderId="41" xfId="0" applyNumberFormat="1" applyFont="1" applyFill="1" applyBorder="1" applyAlignment="1">
      <alignment vertical="justify"/>
    </xf>
    <xf numFmtId="2" fontId="7" fillId="2" borderId="42" xfId="0" applyNumberFormat="1" applyFont="1" applyFill="1" applyBorder="1" applyAlignment="1">
      <alignment vertical="justify"/>
    </xf>
    <xf numFmtId="2" fontId="8" fillId="2" borderId="3" xfId="0" applyNumberFormat="1" applyFont="1" applyFill="1" applyBorder="1" applyAlignment="1">
      <alignment vertical="justify"/>
    </xf>
    <xf numFmtId="2" fontId="7" fillId="2" borderId="10" xfId="0" applyNumberFormat="1" applyFont="1" applyFill="1" applyBorder="1" applyAlignment="1">
      <alignment vertical="justify"/>
    </xf>
    <xf numFmtId="2" fontId="7" fillId="2" borderId="6" xfId="0" applyNumberFormat="1" applyFont="1" applyFill="1" applyBorder="1" applyAlignment="1">
      <alignment vertical="justify"/>
    </xf>
    <xf numFmtId="2" fontId="7" fillId="2" borderId="43" xfId="0" applyNumberFormat="1" applyFont="1" applyFill="1" applyBorder="1" applyAlignment="1">
      <alignment vertical="justify"/>
    </xf>
    <xf numFmtId="2" fontId="7" fillId="2" borderId="44" xfId="0" applyNumberFormat="1" applyFont="1" applyFill="1" applyBorder="1" applyAlignment="1">
      <alignment vertical="justify"/>
    </xf>
    <xf numFmtId="2" fontId="11" fillId="2" borderId="21" xfId="0" applyNumberFormat="1" applyFont="1" applyFill="1" applyBorder="1" applyAlignment="1">
      <alignment vertical="justify"/>
    </xf>
    <xf numFmtId="0" fontId="9" fillId="0" borderId="0" xfId="0" applyFont="1" applyAlignment="1">
      <alignment horizontal="justify" vertical="justify"/>
    </xf>
    <xf numFmtId="2" fontId="9" fillId="0" borderId="0" xfId="0" applyNumberFormat="1" applyFont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2" borderId="15" xfId="0" applyFont="1" applyFill="1" applyBorder="1" applyAlignment="1">
      <alignment horizontal="center" vertical="justify"/>
    </xf>
    <xf numFmtId="0" fontId="6" fillId="2" borderId="16" xfId="0" applyFont="1" applyFill="1" applyBorder="1" applyAlignment="1">
      <alignment horizontal="center" vertical="justify"/>
    </xf>
    <xf numFmtId="0" fontId="6" fillId="2" borderId="27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vertical="justify"/>
    </xf>
    <xf numFmtId="0" fontId="2" fillId="2" borderId="33" xfId="0" applyFont="1" applyFill="1" applyBorder="1" applyAlignment="1">
      <alignment vertical="justify"/>
    </xf>
    <xf numFmtId="0" fontId="6" fillId="2" borderId="26" xfId="0" applyFont="1" applyFill="1" applyBorder="1" applyAlignment="1">
      <alignment horizontal="center" vertical="justify"/>
    </xf>
    <xf numFmtId="0" fontId="6" fillId="2" borderId="10" xfId="0" applyFont="1" applyFill="1" applyBorder="1" applyAlignment="1">
      <alignment horizontal="center" vertical="justify"/>
    </xf>
    <xf numFmtId="0" fontId="6" fillId="2" borderId="28" xfId="0" applyFont="1" applyFill="1" applyBorder="1" applyAlignment="1">
      <alignment horizontal="center" vertical="justify"/>
    </xf>
    <xf numFmtId="0" fontId="6" fillId="2" borderId="29" xfId="0" applyFont="1" applyFill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38"/>
  <sheetViews>
    <sheetView tabSelected="1" workbookViewId="0">
      <selection activeCell="A2" sqref="A2:W2"/>
    </sheetView>
  </sheetViews>
  <sheetFormatPr defaultColWidth="5" defaultRowHeight="15" x14ac:dyDescent="0.25"/>
  <cols>
    <col min="1" max="1" width="37.5703125" style="1" customWidth="1"/>
    <col min="2" max="2" width="6.42578125" style="1" customWidth="1"/>
    <col min="3" max="3" width="5.7109375" style="1" customWidth="1"/>
    <col min="4" max="4" width="6.7109375" style="1" customWidth="1"/>
    <col min="5" max="6" width="9.85546875" style="1" customWidth="1"/>
    <col min="7" max="7" width="9.42578125" style="1" customWidth="1"/>
    <col min="8" max="8" width="12.140625" style="1" customWidth="1"/>
    <col min="9" max="9" width="10" style="1" customWidth="1"/>
    <col min="10" max="11" width="10.42578125" style="1" customWidth="1"/>
    <col min="12" max="12" width="11" style="1" customWidth="1"/>
    <col min="13" max="13" width="6.28515625" style="1" customWidth="1"/>
    <col min="14" max="14" width="6" style="1" customWidth="1"/>
    <col min="15" max="15" width="10" style="1" customWidth="1"/>
    <col min="16" max="16" width="9.7109375" style="1" customWidth="1"/>
    <col min="17" max="17" width="10" style="1" customWidth="1"/>
    <col min="18" max="18" width="9.85546875" style="1" customWidth="1"/>
    <col min="19" max="19" width="10.28515625" style="1" customWidth="1"/>
    <col min="20" max="21" width="10.140625" style="1" customWidth="1"/>
    <col min="22" max="22" width="11" style="1" customWidth="1"/>
    <col min="23" max="23" width="10.85546875" style="1" customWidth="1"/>
    <col min="24" max="24" width="13.7109375" style="1" customWidth="1"/>
    <col min="25" max="25" width="17.42578125" style="1" customWidth="1"/>
    <col min="26" max="26" width="11" style="1" customWidth="1"/>
    <col min="27" max="16384" width="5" style="1"/>
  </cols>
  <sheetData>
    <row r="2" spans="1:26" ht="16.5" customHeight="1" thickBot="1" x14ac:dyDescent="0.3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6" ht="17.25" customHeight="1" thickBot="1" x14ac:dyDescent="0.3">
      <c r="A3" s="63" t="s">
        <v>21</v>
      </c>
      <c r="B3" s="65" t="s">
        <v>0</v>
      </c>
      <c r="C3" s="60" t="s">
        <v>9</v>
      </c>
      <c r="D3" s="61"/>
      <c r="E3" s="61"/>
      <c r="F3" s="61"/>
      <c r="G3" s="61"/>
      <c r="H3" s="61"/>
      <c r="I3" s="61"/>
      <c r="J3" s="61"/>
      <c r="K3" s="62"/>
      <c r="L3" s="67" t="s">
        <v>15</v>
      </c>
      <c r="M3" s="61" t="s">
        <v>17</v>
      </c>
      <c r="N3" s="61"/>
      <c r="O3" s="61"/>
      <c r="P3" s="61"/>
      <c r="Q3" s="61"/>
      <c r="R3" s="61"/>
      <c r="S3" s="61"/>
      <c r="T3" s="61"/>
      <c r="U3" s="62"/>
      <c r="V3" s="67" t="s">
        <v>16</v>
      </c>
      <c r="W3" s="69" t="s">
        <v>33</v>
      </c>
    </row>
    <row r="4" spans="1:26" ht="39" customHeight="1" thickBot="1" x14ac:dyDescent="0.3">
      <c r="A4" s="64"/>
      <c r="B4" s="66"/>
      <c r="C4" s="28" t="s">
        <v>1</v>
      </c>
      <c r="D4" s="28" t="s">
        <v>18</v>
      </c>
      <c r="E4" s="29" t="s">
        <v>2</v>
      </c>
      <c r="F4" s="30" t="s">
        <v>3</v>
      </c>
      <c r="G4" s="30" t="s">
        <v>4</v>
      </c>
      <c r="H4" s="30" t="s">
        <v>5</v>
      </c>
      <c r="I4" s="30" t="s">
        <v>6</v>
      </c>
      <c r="J4" s="30" t="s">
        <v>7</v>
      </c>
      <c r="K4" s="31" t="s">
        <v>8</v>
      </c>
      <c r="L4" s="68"/>
      <c r="M4" s="43" t="s">
        <v>1</v>
      </c>
      <c r="N4" s="28" t="s">
        <v>18</v>
      </c>
      <c r="O4" s="29" t="s">
        <v>5</v>
      </c>
      <c r="P4" s="30" t="s">
        <v>10</v>
      </c>
      <c r="Q4" s="30" t="s">
        <v>11</v>
      </c>
      <c r="R4" s="30" t="s">
        <v>12</v>
      </c>
      <c r="S4" s="30" t="s">
        <v>13</v>
      </c>
      <c r="T4" s="30" t="s">
        <v>14</v>
      </c>
      <c r="U4" s="31" t="s">
        <v>6</v>
      </c>
      <c r="V4" s="68"/>
      <c r="W4" s="70"/>
    </row>
    <row r="5" spans="1:26" ht="30.75" customHeight="1" x14ac:dyDescent="0.25">
      <c r="A5" s="2" t="s">
        <v>25</v>
      </c>
      <c r="B5" s="12">
        <v>20190</v>
      </c>
      <c r="C5" s="13">
        <v>121.51</v>
      </c>
      <c r="D5" s="14">
        <f t="shared" ref="D5:D16" si="0">C5/6</f>
        <v>20.25</v>
      </c>
      <c r="E5" s="15">
        <f>SUM(L5/6)</f>
        <v>408881.15</v>
      </c>
      <c r="F5" s="15">
        <f>SUM(E5)</f>
        <v>408881.15</v>
      </c>
      <c r="G5" s="15">
        <f>SUM(E5)</f>
        <v>408881.15</v>
      </c>
      <c r="H5" s="16">
        <f>ROUND(B5*C5/6/2,2)</f>
        <v>204440.58</v>
      </c>
      <c r="I5" s="16">
        <f>ROUNDDOWN(B5*C5/6/2,2)</f>
        <v>204440.57</v>
      </c>
      <c r="J5" s="16">
        <f>SUM(E5)</f>
        <v>408881.15</v>
      </c>
      <c r="K5" s="17">
        <f>SUM(E5)</f>
        <v>408881.15</v>
      </c>
      <c r="L5" s="40">
        <f t="shared" ref="L5:L15" si="1">B5*C5</f>
        <v>2453286.9</v>
      </c>
      <c r="M5" s="18">
        <v>60.58</v>
      </c>
      <c r="N5" s="14">
        <v>0</v>
      </c>
      <c r="O5" s="15">
        <f>ROUND(B5*M5/6/2,2)</f>
        <v>101925.85</v>
      </c>
      <c r="P5" s="16">
        <f>SUM(V5/6)</f>
        <v>203851.7</v>
      </c>
      <c r="Q5" s="16">
        <f>SUM(P5)</f>
        <v>203851.7</v>
      </c>
      <c r="R5" s="16">
        <f>SUM(P5)</f>
        <v>203851.7</v>
      </c>
      <c r="S5" s="16">
        <f>SUM(P5)</f>
        <v>203851.7</v>
      </c>
      <c r="T5" s="16">
        <f>SUM(Q5)</f>
        <v>203851.7</v>
      </c>
      <c r="U5" s="17">
        <f>ROUND(B5*M5/6/2,2)</f>
        <v>101925.85</v>
      </c>
      <c r="V5" s="55">
        <f>B5*M5</f>
        <v>1223110.2</v>
      </c>
      <c r="W5" s="18">
        <f t="shared" ref="W5:W16" si="2">V5+L5</f>
        <v>3676397.1</v>
      </c>
      <c r="X5" s="35"/>
      <c r="Y5" s="35"/>
      <c r="Z5" s="35"/>
    </row>
    <row r="6" spans="1:26" ht="30.75" customHeight="1" x14ac:dyDescent="0.25">
      <c r="A6" s="2" t="s">
        <v>26</v>
      </c>
      <c r="B6" s="12">
        <v>20190</v>
      </c>
      <c r="C6" s="13">
        <v>50.35</v>
      </c>
      <c r="D6" s="14">
        <f t="shared" si="0"/>
        <v>8.39</v>
      </c>
      <c r="E6" s="15">
        <f t="shared" ref="E6:E14" si="3">B6*C6/6</f>
        <v>169427.75</v>
      </c>
      <c r="F6" s="15">
        <f>E6</f>
        <v>169427.75</v>
      </c>
      <c r="G6" s="15">
        <f>E6</f>
        <v>169427.75</v>
      </c>
      <c r="H6" s="16">
        <f t="shared" ref="H6:H15" si="4">ROUND(B6*C6/6/2,2)</f>
        <v>84713.88</v>
      </c>
      <c r="I6" s="16">
        <f t="shared" ref="I6:I16" si="5">ROUNDDOWN(B6*C6/6/2,2)</f>
        <v>84713.87</v>
      </c>
      <c r="J6" s="16">
        <f>E6</f>
        <v>169427.75</v>
      </c>
      <c r="K6" s="17">
        <f>E6</f>
        <v>169427.75</v>
      </c>
      <c r="L6" s="14">
        <f>E6+F6+G6+H6+I6+J6+K6</f>
        <v>1016566.5</v>
      </c>
      <c r="M6" s="18">
        <v>6.1</v>
      </c>
      <c r="N6" s="14"/>
      <c r="O6" s="15">
        <f t="shared" ref="O6:O16" si="6">ROUND(B6*M6/6/2,2)</f>
        <v>10263.25</v>
      </c>
      <c r="P6" s="16">
        <f>B6*M6/6</f>
        <v>20526.5</v>
      </c>
      <c r="Q6" s="16">
        <f>P6</f>
        <v>20526.5</v>
      </c>
      <c r="R6" s="16">
        <f>P6</f>
        <v>20526.5</v>
      </c>
      <c r="S6" s="16">
        <f>P6</f>
        <v>20526.5</v>
      </c>
      <c r="T6" s="16">
        <f>P6</f>
        <v>20526.5</v>
      </c>
      <c r="U6" s="17">
        <f t="shared" ref="U6:U15" si="7">ROUND(B6*M6/6/2,2)</f>
        <v>10263.25</v>
      </c>
      <c r="V6" s="55">
        <f t="shared" ref="V6:V16" si="8">B6*M6</f>
        <v>123159</v>
      </c>
      <c r="W6" s="18">
        <f t="shared" si="2"/>
        <v>1139725.5</v>
      </c>
      <c r="X6" s="35"/>
      <c r="Y6" s="35"/>
      <c r="Z6" s="35"/>
    </row>
    <row r="7" spans="1:26" ht="28.5" customHeight="1" x14ac:dyDescent="0.25">
      <c r="A7" s="2" t="s">
        <v>27</v>
      </c>
      <c r="B7" s="19">
        <v>305360</v>
      </c>
      <c r="C7" s="20">
        <v>106.01</v>
      </c>
      <c r="D7" s="14">
        <f t="shared" si="0"/>
        <v>17.670000000000002</v>
      </c>
      <c r="E7" s="15">
        <f t="shared" si="3"/>
        <v>5395202.2699999996</v>
      </c>
      <c r="F7" s="21">
        <f t="shared" ref="F7:F18" si="9">SUM(E7)</f>
        <v>5395202.2699999996</v>
      </c>
      <c r="G7" s="21">
        <f t="shared" ref="G7:G15" si="10">SUM(E7)</f>
        <v>5395202.2699999996</v>
      </c>
      <c r="H7" s="16">
        <f>ROUND(B7*C7/6/2,2)-0.01</f>
        <v>2697601.12</v>
      </c>
      <c r="I7" s="16">
        <f t="shared" si="5"/>
        <v>2697601.13</v>
      </c>
      <c r="J7" s="22">
        <f t="shared" ref="J7:J18" si="11">SUM(E7)</f>
        <v>5395202.2699999996</v>
      </c>
      <c r="K7" s="23">
        <f t="shared" ref="K7:K18" si="12">SUM(E7)</f>
        <v>5395202.2699999996</v>
      </c>
      <c r="L7" s="40">
        <f>B7*C7</f>
        <v>32371213.600000001</v>
      </c>
      <c r="M7" s="24">
        <v>40.520000000000003</v>
      </c>
      <c r="N7" s="14">
        <v>0</v>
      </c>
      <c r="O7" s="15">
        <f t="shared" si="6"/>
        <v>1031098.93</v>
      </c>
      <c r="P7" s="16">
        <f t="shared" ref="P7:P16" si="13">B7*M7/6</f>
        <v>2062197.87</v>
      </c>
      <c r="Q7" s="16">
        <f t="shared" ref="Q7:Q15" si="14">SUM(P7)</f>
        <v>2062197.87</v>
      </c>
      <c r="R7" s="16">
        <f t="shared" ref="R7:R15" si="15">SUM(P7)</f>
        <v>2062197.87</v>
      </c>
      <c r="S7" s="16">
        <f t="shared" ref="S7:S15" si="16">SUM(P7)</f>
        <v>2062197.87</v>
      </c>
      <c r="T7" s="16">
        <f t="shared" ref="T7:T15" si="17">SUM(P7)</f>
        <v>2062197.87</v>
      </c>
      <c r="U7" s="17">
        <f>ROUND(B7*M7/6/2,2)-0.01</f>
        <v>1031098.92</v>
      </c>
      <c r="V7" s="55">
        <f t="shared" si="8"/>
        <v>12373187.199999999</v>
      </c>
      <c r="W7" s="24">
        <f t="shared" si="2"/>
        <v>44744400.799999997</v>
      </c>
      <c r="X7" s="35"/>
      <c r="Y7" s="35"/>
      <c r="Z7" s="35"/>
    </row>
    <row r="8" spans="1:26" ht="28.5" customHeight="1" x14ac:dyDescent="0.25">
      <c r="A8" s="2" t="s">
        <v>26</v>
      </c>
      <c r="B8" s="19">
        <v>305360</v>
      </c>
      <c r="C8" s="20">
        <v>44.51</v>
      </c>
      <c r="D8" s="14">
        <f t="shared" si="0"/>
        <v>7.42</v>
      </c>
      <c r="E8" s="15">
        <f t="shared" si="3"/>
        <v>2265262.27</v>
      </c>
      <c r="F8" s="21">
        <f>E8</f>
        <v>2265262.27</v>
      </c>
      <c r="G8" s="21">
        <f>F8</f>
        <v>2265262.27</v>
      </c>
      <c r="H8" s="16">
        <f t="shared" si="4"/>
        <v>1132631.1299999999</v>
      </c>
      <c r="I8" s="16">
        <f t="shared" si="5"/>
        <v>1132631.1299999999</v>
      </c>
      <c r="J8" s="22">
        <f>E8</f>
        <v>2265262.27</v>
      </c>
      <c r="K8" s="23">
        <f t="shared" si="12"/>
        <v>2265262.27</v>
      </c>
      <c r="L8" s="14">
        <f>E8+F8+G8+H8+I8+J8+K8</f>
        <v>13591573.609999999</v>
      </c>
      <c r="M8" s="24">
        <v>4.42</v>
      </c>
      <c r="N8" s="14"/>
      <c r="O8" s="15">
        <f>ROUND(B8*M8/6/2,2)+0.01</f>
        <v>112474.28</v>
      </c>
      <c r="P8" s="16">
        <f t="shared" si="13"/>
        <v>224948.53</v>
      </c>
      <c r="Q8" s="16">
        <f>P8</f>
        <v>224948.53</v>
      </c>
      <c r="R8" s="16">
        <f>P8</f>
        <v>224948.53</v>
      </c>
      <c r="S8" s="16">
        <f>P8</f>
        <v>224948.53</v>
      </c>
      <c r="T8" s="16">
        <f>P8</f>
        <v>224948.53</v>
      </c>
      <c r="U8" s="17">
        <f t="shared" si="7"/>
        <v>112474.27</v>
      </c>
      <c r="V8" s="55">
        <f t="shared" si="8"/>
        <v>1349691.2</v>
      </c>
      <c r="W8" s="24">
        <f t="shared" si="2"/>
        <v>14941264.810000001</v>
      </c>
      <c r="X8" s="35"/>
      <c r="Y8" s="35"/>
      <c r="Z8" s="35"/>
    </row>
    <row r="9" spans="1:26" ht="30" customHeight="1" x14ac:dyDescent="0.25">
      <c r="A9" s="2" t="s">
        <v>28</v>
      </c>
      <c r="B9" s="19">
        <v>11615</v>
      </c>
      <c r="C9" s="20">
        <v>96.1</v>
      </c>
      <c r="D9" s="14">
        <f t="shared" si="0"/>
        <v>16.02</v>
      </c>
      <c r="E9" s="15">
        <f t="shared" si="3"/>
        <v>186033.58</v>
      </c>
      <c r="F9" s="21">
        <f t="shared" si="9"/>
        <v>186033.58</v>
      </c>
      <c r="G9" s="21">
        <f t="shared" si="10"/>
        <v>186033.58</v>
      </c>
      <c r="H9" s="16">
        <f>ROUNDUP(B9*C9/6/2,2)</f>
        <v>93016.8</v>
      </c>
      <c r="I9" s="16">
        <f>ROUNDUP(B9*C9/6/2,2)</f>
        <v>93016.8</v>
      </c>
      <c r="J9" s="22">
        <f t="shared" si="11"/>
        <v>186033.58</v>
      </c>
      <c r="K9" s="23">
        <f t="shared" si="12"/>
        <v>186033.58</v>
      </c>
      <c r="L9" s="40">
        <f t="shared" si="1"/>
        <v>1116201.5</v>
      </c>
      <c r="M9" s="24">
        <v>23.75</v>
      </c>
      <c r="N9" s="14">
        <v>0</v>
      </c>
      <c r="O9" s="15">
        <f>ROUND(B9*M9/6/2,2)</f>
        <v>22988.02</v>
      </c>
      <c r="P9" s="16">
        <f t="shared" si="13"/>
        <v>45976.04</v>
      </c>
      <c r="Q9" s="16">
        <f t="shared" si="14"/>
        <v>45976.04</v>
      </c>
      <c r="R9" s="16">
        <f t="shared" si="15"/>
        <v>45976.04</v>
      </c>
      <c r="S9" s="16">
        <f t="shared" si="16"/>
        <v>45976.04</v>
      </c>
      <c r="T9" s="16">
        <f t="shared" si="17"/>
        <v>45976.04</v>
      </c>
      <c r="U9" s="17">
        <f>ROUND(B9*M9/6/2,2)+0.01</f>
        <v>22988.03</v>
      </c>
      <c r="V9" s="55">
        <f t="shared" si="8"/>
        <v>275856.25</v>
      </c>
      <c r="W9" s="24">
        <f t="shared" si="2"/>
        <v>1392057.75</v>
      </c>
      <c r="X9" s="35"/>
      <c r="Y9" s="35"/>
      <c r="Z9" s="35"/>
    </row>
    <row r="10" spans="1:26" ht="30" customHeight="1" x14ac:dyDescent="0.25">
      <c r="A10" s="2" t="s">
        <v>26</v>
      </c>
      <c r="B10" s="19">
        <v>11615</v>
      </c>
      <c r="C10" s="20">
        <v>43.64</v>
      </c>
      <c r="D10" s="14">
        <f t="shared" si="0"/>
        <v>7.27</v>
      </c>
      <c r="E10" s="15">
        <f t="shared" si="3"/>
        <v>84479.77</v>
      </c>
      <c r="F10" s="21">
        <f>E10</f>
        <v>84479.77</v>
      </c>
      <c r="G10" s="21">
        <f>E10</f>
        <v>84479.77</v>
      </c>
      <c r="H10" s="16">
        <f t="shared" si="4"/>
        <v>42239.88</v>
      </c>
      <c r="I10" s="16">
        <f t="shared" si="5"/>
        <v>42239.88</v>
      </c>
      <c r="J10" s="22">
        <f>E10</f>
        <v>84479.77</v>
      </c>
      <c r="K10" s="23">
        <f>E10</f>
        <v>84479.77</v>
      </c>
      <c r="L10" s="14">
        <f>E10+F10+G10+H10+I10+J10+K10</f>
        <v>506878.61</v>
      </c>
      <c r="M10" s="24">
        <v>3.02</v>
      </c>
      <c r="N10" s="14"/>
      <c r="O10" s="15">
        <f>ROUND(B10*M10/6/2,2)-0.02</f>
        <v>2923.09</v>
      </c>
      <c r="P10" s="16">
        <f t="shared" si="13"/>
        <v>5846.22</v>
      </c>
      <c r="Q10" s="16">
        <f>P10</f>
        <v>5846.22</v>
      </c>
      <c r="R10" s="16">
        <f>P10</f>
        <v>5846.22</v>
      </c>
      <c r="S10" s="16">
        <f>Q10</f>
        <v>5846.22</v>
      </c>
      <c r="T10" s="16">
        <f>R10</f>
        <v>5846.22</v>
      </c>
      <c r="U10" s="17">
        <f t="shared" si="7"/>
        <v>2923.11</v>
      </c>
      <c r="V10" s="55">
        <f t="shared" si="8"/>
        <v>35077.300000000003</v>
      </c>
      <c r="W10" s="24">
        <f t="shared" si="2"/>
        <v>541955.91</v>
      </c>
      <c r="X10" s="35"/>
      <c r="Y10" s="35"/>
      <c r="Z10" s="35"/>
    </row>
    <row r="11" spans="1:26" ht="30" customHeight="1" x14ac:dyDescent="0.25">
      <c r="A11" s="2" t="s">
        <v>29</v>
      </c>
      <c r="B11" s="19">
        <v>1409</v>
      </c>
      <c r="C11" s="20">
        <v>176.78</v>
      </c>
      <c r="D11" s="14">
        <f t="shared" si="0"/>
        <v>29.46</v>
      </c>
      <c r="E11" s="15">
        <f t="shared" si="3"/>
        <v>41513.839999999997</v>
      </c>
      <c r="F11" s="21">
        <f>E11</f>
        <v>41513.839999999997</v>
      </c>
      <c r="G11" s="21">
        <f>E11</f>
        <v>41513.839999999997</v>
      </c>
      <c r="H11" s="16">
        <f>ROUNDDOWN(B11*C11/6/2,2)</f>
        <v>20756.91</v>
      </c>
      <c r="I11" s="16">
        <f t="shared" si="5"/>
        <v>20756.91</v>
      </c>
      <c r="J11" s="22">
        <f>E11</f>
        <v>41513.839999999997</v>
      </c>
      <c r="K11" s="23">
        <f>E11</f>
        <v>41513.839999999997</v>
      </c>
      <c r="L11" s="40">
        <f>B11*C11</f>
        <v>249083.02</v>
      </c>
      <c r="M11" s="24">
        <v>68.72</v>
      </c>
      <c r="N11" s="14">
        <v>0</v>
      </c>
      <c r="O11" s="15">
        <f>ROUND(B11*M11/6/2,2)-0.01</f>
        <v>8068.86</v>
      </c>
      <c r="P11" s="16">
        <f t="shared" si="13"/>
        <v>16137.75</v>
      </c>
      <c r="Q11" s="16">
        <f>P11</f>
        <v>16137.75</v>
      </c>
      <c r="R11" s="16">
        <f>P11</f>
        <v>16137.75</v>
      </c>
      <c r="S11" s="16">
        <f>P11</f>
        <v>16137.75</v>
      </c>
      <c r="T11" s="16">
        <f>P11</f>
        <v>16137.75</v>
      </c>
      <c r="U11" s="17">
        <f t="shared" si="7"/>
        <v>8068.87</v>
      </c>
      <c r="V11" s="55">
        <f t="shared" si="8"/>
        <v>96826.48</v>
      </c>
      <c r="W11" s="24">
        <f t="shared" si="2"/>
        <v>345909.5</v>
      </c>
      <c r="X11" s="35"/>
      <c r="Y11" s="35"/>
      <c r="Z11" s="35"/>
    </row>
    <row r="12" spans="1:26" ht="30" customHeight="1" x14ac:dyDescent="0.25">
      <c r="A12" s="2" t="s">
        <v>26</v>
      </c>
      <c r="B12" s="19">
        <v>1409</v>
      </c>
      <c r="C12" s="20">
        <v>45.62</v>
      </c>
      <c r="D12" s="14">
        <f t="shared" si="0"/>
        <v>7.6</v>
      </c>
      <c r="E12" s="15">
        <f t="shared" si="3"/>
        <v>10713.1</v>
      </c>
      <c r="F12" s="21">
        <f>E12</f>
        <v>10713.1</v>
      </c>
      <c r="G12" s="21">
        <f>E12</f>
        <v>10713.1</v>
      </c>
      <c r="H12" s="16">
        <f t="shared" si="4"/>
        <v>5356.55</v>
      </c>
      <c r="I12" s="16">
        <f t="shared" si="5"/>
        <v>5356.54</v>
      </c>
      <c r="J12" s="22">
        <f>E12</f>
        <v>10713.1</v>
      </c>
      <c r="K12" s="23">
        <f>E12</f>
        <v>10713.1</v>
      </c>
      <c r="L12" s="14">
        <f>E12+F12+G12+H12+I12+J12+K12</f>
        <v>64278.59</v>
      </c>
      <c r="M12" s="24">
        <v>5.74</v>
      </c>
      <c r="N12" s="14"/>
      <c r="O12" s="15">
        <f t="shared" si="6"/>
        <v>673.97</v>
      </c>
      <c r="P12" s="16">
        <f t="shared" si="13"/>
        <v>1347.94</v>
      </c>
      <c r="Q12" s="16">
        <f>P12</f>
        <v>1347.94</v>
      </c>
      <c r="R12" s="16">
        <f>P12</f>
        <v>1347.94</v>
      </c>
      <c r="S12" s="16">
        <f>P12</f>
        <v>1347.94</v>
      </c>
      <c r="T12" s="16">
        <f>P12</f>
        <v>1347.94</v>
      </c>
      <c r="U12" s="17">
        <f>ROUND(B12*M12/6/2,2)+0.02</f>
        <v>673.99</v>
      </c>
      <c r="V12" s="55">
        <f t="shared" si="8"/>
        <v>8087.66</v>
      </c>
      <c r="W12" s="24">
        <f t="shared" si="2"/>
        <v>72366.25</v>
      </c>
      <c r="X12" s="35"/>
      <c r="Y12" s="35"/>
      <c r="Z12" s="35"/>
    </row>
    <row r="13" spans="1:26" ht="13.5" customHeight="1" x14ac:dyDescent="0.25">
      <c r="A13" s="3" t="s">
        <v>30</v>
      </c>
      <c r="B13" s="19">
        <v>20467</v>
      </c>
      <c r="C13" s="20">
        <v>196.45</v>
      </c>
      <c r="D13" s="14">
        <f t="shared" si="0"/>
        <v>32.74</v>
      </c>
      <c r="E13" s="15">
        <f t="shared" si="3"/>
        <v>670123.68999999994</v>
      </c>
      <c r="F13" s="21">
        <f>E13</f>
        <v>670123.68999999994</v>
      </c>
      <c r="G13" s="21">
        <f>E13</f>
        <v>670123.68999999994</v>
      </c>
      <c r="H13" s="16">
        <f t="shared" si="4"/>
        <v>335061.84999999998</v>
      </c>
      <c r="I13" s="16">
        <f>ROUND(B13*C13/6/2,2)</f>
        <v>335061.84999999998</v>
      </c>
      <c r="J13" s="22">
        <f>E13</f>
        <v>670123.68999999994</v>
      </c>
      <c r="K13" s="23">
        <f>E13</f>
        <v>670123.68999999994</v>
      </c>
      <c r="L13" s="40">
        <f t="shared" si="1"/>
        <v>4020742.15</v>
      </c>
      <c r="M13" s="24">
        <v>101.3</v>
      </c>
      <c r="N13" s="14">
        <v>0</v>
      </c>
      <c r="O13" s="15">
        <f t="shared" si="6"/>
        <v>172775.59</v>
      </c>
      <c r="P13" s="16">
        <f t="shared" si="13"/>
        <v>345551.18</v>
      </c>
      <c r="Q13" s="16">
        <f>P13</f>
        <v>345551.18</v>
      </c>
      <c r="R13" s="16">
        <f>P13</f>
        <v>345551.18</v>
      </c>
      <c r="S13" s="16">
        <f>P13</f>
        <v>345551.18</v>
      </c>
      <c r="T13" s="16">
        <f>P13</f>
        <v>345551.18</v>
      </c>
      <c r="U13" s="17">
        <f>ROUND(B13*M13/6/2,2)+0.02</f>
        <v>172775.61</v>
      </c>
      <c r="V13" s="55">
        <f t="shared" si="8"/>
        <v>2073307.1</v>
      </c>
      <c r="W13" s="24">
        <f t="shared" si="2"/>
        <v>6094049.25</v>
      </c>
      <c r="X13" s="35"/>
      <c r="Y13" s="35"/>
      <c r="Z13" s="35"/>
    </row>
    <row r="14" spans="1:26" ht="13.5" customHeight="1" x14ac:dyDescent="0.25">
      <c r="A14" s="2" t="s">
        <v>26</v>
      </c>
      <c r="B14" s="19">
        <v>20467</v>
      </c>
      <c r="C14" s="20">
        <v>48.73</v>
      </c>
      <c r="D14" s="14">
        <f t="shared" si="0"/>
        <v>8.1199999999999992</v>
      </c>
      <c r="E14" s="15">
        <f t="shared" si="3"/>
        <v>166226.15</v>
      </c>
      <c r="F14" s="21">
        <f>E14</f>
        <v>166226.15</v>
      </c>
      <c r="G14" s="21">
        <f>E14</f>
        <v>166226.15</v>
      </c>
      <c r="H14" s="16">
        <f t="shared" si="4"/>
        <v>83113.08</v>
      </c>
      <c r="I14" s="16">
        <f t="shared" si="5"/>
        <v>83113.070000000007</v>
      </c>
      <c r="J14" s="22">
        <f>E14</f>
        <v>166226.15</v>
      </c>
      <c r="K14" s="23">
        <f>E14</f>
        <v>166226.15</v>
      </c>
      <c r="L14" s="14">
        <f>E14++F14+G14+H14+I14+J14+K14</f>
        <v>997356.9</v>
      </c>
      <c r="M14" s="24">
        <v>6.84</v>
      </c>
      <c r="N14" s="14"/>
      <c r="O14" s="15">
        <f t="shared" si="6"/>
        <v>11666.19</v>
      </c>
      <c r="P14" s="16">
        <f t="shared" si="13"/>
        <v>23332.38</v>
      </c>
      <c r="Q14" s="16">
        <f>P14</f>
        <v>23332.38</v>
      </c>
      <c r="R14" s="16">
        <f>Q14</f>
        <v>23332.38</v>
      </c>
      <c r="S14" s="16">
        <f>R14</f>
        <v>23332.38</v>
      </c>
      <c r="T14" s="16">
        <f>S14</f>
        <v>23332.38</v>
      </c>
      <c r="U14" s="17">
        <f t="shared" si="7"/>
        <v>11666.19</v>
      </c>
      <c r="V14" s="55">
        <f t="shared" si="8"/>
        <v>139994.28</v>
      </c>
      <c r="W14" s="24">
        <f t="shared" si="2"/>
        <v>1137351.18</v>
      </c>
      <c r="X14" s="35"/>
      <c r="Y14" s="35"/>
      <c r="Z14" s="35"/>
    </row>
    <row r="15" spans="1:26" ht="14.25" customHeight="1" x14ac:dyDescent="0.25">
      <c r="A15" s="3" t="s">
        <v>31</v>
      </c>
      <c r="B15" s="19">
        <v>21332</v>
      </c>
      <c r="C15" s="20">
        <v>227.64</v>
      </c>
      <c r="D15" s="14">
        <f t="shared" si="0"/>
        <v>37.94</v>
      </c>
      <c r="E15" s="15">
        <f>SUM(L15/6)</f>
        <v>809336.08</v>
      </c>
      <c r="F15" s="21">
        <f t="shared" si="9"/>
        <v>809336.08</v>
      </c>
      <c r="G15" s="21">
        <f t="shared" si="10"/>
        <v>809336.08</v>
      </c>
      <c r="H15" s="16">
        <f t="shared" si="4"/>
        <v>404668.04</v>
      </c>
      <c r="I15" s="16">
        <f t="shared" si="5"/>
        <v>404668.04</v>
      </c>
      <c r="J15" s="22">
        <f t="shared" si="11"/>
        <v>809336.08</v>
      </c>
      <c r="K15" s="23">
        <f t="shared" si="12"/>
        <v>809336.08</v>
      </c>
      <c r="L15" s="40">
        <f t="shared" si="1"/>
        <v>4856016.4800000004</v>
      </c>
      <c r="M15" s="24">
        <v>149.07</v>
      </c>
      <c r="N15" s="14">
        <v>0</v>
      </c>
      <c r="O15" s="15">
        <f t="shared" si="6"/>
        <v>264996.77</v>
      </c>
      <c r="P15" s="16">
        <f t="shared" si="13"/>
        <v>529993.54</v>
      </c>
      <c r="Q15" s="16">
        <f t="shared" si="14"/>
        <v>529993.54</v>
      </c>
      <c r="R15" s="16">
        <f t="shared" si="15"/>
        <v>529993.54</v>
      </c>
      <c r="S15" s="16">
        <f t="shared" si="16"/>
        <v>529993.54</v>
      </c>
      <c r="T15" s="16">
        <f t="shared" si="17"/>
        <v>529993.54</v>
      </c>
      <c r="U15" s="17">
        <f t="shared" si="7"/>
        <v>264996.77</v>
      </c>
      <c r="V15" s="55">
        <f t="shared" si="8"/>
        <v>3179961.24</v>
      </c>
      <c r="W15" s="24">
        <f t="shared" si="2"/>
        <v>8035977.7199999997</v>
      </c>
      <c r="X15" s="35"/>
      <c r="Y15" s="35"/>
      <c r="Z15" s="35"/>
    </row>
    <row r="16" spans="1:26" ht="14.25" customHeight="1" thickBot="1" x14ac:dyDescent="0.3">
      <c r="A16" s="2" t="s">
        <v>26</v>
      </c>
      <c r="B16" s="19">
        <v>21332</v>
      </c>
      <c r="C16" s="36">
        <v>66.5</v>
      </c>
      <c r="D16" s="37">
        <f t="shared" si="0"/>
        <v>11.08</v>
      </c>
      <c r="E16" s="46">
        <f>B16*C16/6</f>
        <v>236429.67</v>
      </c>
      <c r="F16" s="47">
        <f>E16</f>
        <v>236429.67</v>
      </c>
      <c r="G16" s="47">
        <f>E16</f>
        <v>236429.67</v>
      </c>
      <c r="H16" s="16">
        <f>B16*C16/6/2</f>
        <v>118214.83</v>
      </c>
      <c r="I16" s="16">
        <f t="shared" si="5"/>
        <v>118214.83</v>
      </c>
      <c r="J16" s="48">
        <f>E16</f>
        <v>236429.67</v>
      </c>
      <c r="K16" s="49">
        <f>E16</f>
        <v>236429.67</v>
      </c>
      <c r="L16" s="37">
        <f>E16+F16+G16+H16+I16+J16+K16</f>
        <v>1418578.01</v>
      </c>
      <c r="M16" s="39">
        <v>7.72</v>
      </c>
      <c r="N16" s="37"/>
      <c r="O16" s="15">
        <f t="shared" si="6"/>
        <v>13723.59</v>
      </c>
      <c r="P16" s="16">
        <f t="shared" si="13"/>
        <v>27447.17</v>
      </c>
      <c r="Q16" s="38">
        <f>P16</f>
        <v>27447.17</v>
      </c>
      <c r="R16" s="38">
        <f>Q16</f>
        <v>27447.17</v>
      </c>
      <c r="S16" s="38">
        <f>R16</f>
        <v>27447.17</v>
      </c>
      <c r="T16" s="38">
        <f>Q16</f>
        <v>27447.17</v>
      </c>
      <c r="U16" s="17">
        <f>ROUND(B16*M16/6/2,2)+0.01</f>
        <v>13723.6</v>
      </c>
      <c r="V16" s="55">
        <f t="shared" si="8"/>
        <v>164683.04</v>
      </c>
      <c r="W16" s="39">
        <f t="shared" si="2"/>
        <v>1583261.05</v>
      </c>
      <c r="X16" s="35"/>
      <c r="Y16" s="35"/>
      <c r="Z16" s="35"/>
    </row>
    <row r="17" spans="1:26" ht="18" customHeight="1" thickBot="1" x14ac:dyDescent="0.3">
      <c r="A17" s="4" t="s">
        <v>19</v>
      </c>
      <c r="B17" s="25"/>
      <c r="C17" s="26"/>
      <c r="D17" s="41"/>
      <c r="E17" s="52">
        <f>E5+E7+E9+E11+E13+E15</f>
        <v>7511090.6100000003</v>
      </c>
      <c r="F17" s="52">
        <f>SUM(E17)</f>
        <v>7511090.6100000003</v>
      </c>
      <c r="G17" s="52">
        <f>G5+G7+G9+G11+G13+G15</f>
        <v>7511090.6100000003</v>
      </c>
      <c r="H17" s="52">
        <f>H5+H7+H9+H13+H11+H15</f>
        <v>3755545.3</v>
      </c>
      <c r="I17" s="52">
        <f>I5+I7+I9+I13+I11+I15</f>
        <v>3755545.3</v>
      </c>
      <c r="J17" s="52">
        <f t="shared" si="11"/>
        <v>7511090.6100000003</v>
      </c>
      <c r="K17" s="53">
        <f t="shared" si="12"/>
        <v>7511090.6100000003</v>
      </c>
      <c r="L17" s="6">
        <f>L5+L7+L9+L11+L13+L15</f>
        <v>45066543.649999999</v>
      </c>
      <c r="M17" s="7"/>
      <c r="N17" s="6"/>
      <c r="O17" s="27">
        <f>O5+O7+O9+O11+O13+O15</f>
        <v>1601854.02</v>
      </c>
      <c r="P17" s="27">
        <f t="shared" ref="P17:U17" si="18">P5+P7+P9+P11+P13+P15</f>
        <v>3203708.08</v>
      </c>
      <c r="Q17" s="27">
        <f t="shared" si="18"/>
        <v>3203708.08</v>
      </c>
      <c r="R17" s="27">
        <f t="shared" si="18"/>
        <v>3203708.08</v>
      </c>
      <c r="S17" s="27">
        <f t="shared" si="18"/>
        <v>3203708.08</v>
      </c>
      <c r="T17" s="27">
        <f t="shared" si="18"/>
        <v>3203708.08</v>
      </c>
      <c r="U17" s="27">
        <f t="shared" si="18"/>
        <v>1601854.05</v>
      </c>
      <c r="V17" s="6">
        <f>V5+V7+V9+V11+V13+V15</f>
        <v>19222248.469999999</v>
      </c>
      <c r="W17" s="7">
        <f>W5+W7+W9+W11+W13+W15</f>
        <v>64288792.119999997</v>
      </c>
      <c r="X17" s="35"/>
      <c r="Y17" s="35"/>
      <c r="Z17" s="35"/>
    </row>
    <row r="18" spans="1:26" ht="18" customHeight="1" thickBot="1" x14ac:dyDescent="0.3">
      <c r="A18" s="5" t="s">
        <v>24</v>
      </c>
      <c r="B18" s="8"/>
      <c r="C18" s="9"/>
      <c r="D18" s="42"/>
      <c r="E18" s="45">
        <f>E17*0.2</f>
        <v>1502218.12</v>
      </c>
      <c r="F18" s="45">
        <f t="shared" si="9"/>
        <v>1502218.12</v>
      </c>
      <c r="G18" s="45">
        <f>G17*0.2</f>
        <v>1502218.12</v>
      </c>
      <c r="H18" s="45">
        <f t="shared" ref="H18" si="19">H17*0.2</f>
        <v>751109.06</v>
      </c>
      <c r="I18" s="45">
        <f>I17*0.2+0.01</f>
        <v>751109.07</v>
      </c>
      <c r="J18" s="45">
        <f t="shared" si="11"/>
        <v>1502218.12</v>
      </c>
      <c r="K18" s="50">
        <f t="shared" si="12"/>
        <v>1502218.12</v>
      </c>
      <c r="L18" s="10">
        <f>L17*0.2</f>
        <v>9013308.7300000004</v>
      </c>
      <c r="M18" s="44"/>
      <c r="N18" s="10"/>
      <c r="O18" s="11">
        <f>O17*0.2-0.01</f>
        <v>320370.78999999998</v>
      </c>
      <c r="P18" s="11">
        <f t="shared" ref="P18:T18" si="20">P17*0.2</f>
        <v>640741.62</v>
      </c>
      <c r="Q18" s="11">
        <f t="shared" si="20"/>
        <v>640741.62</v>
      </c>
      <c r="R18" s="11">
        <f t="shared" si="20"/>
        <v>640741.62</v>
      </c>
      <c r="S18" s="11">
        <f t="shared" si="20"/>
        <v>640741.62</v>
      </c>
      <c r="T18" s="11">
        <f t="shared" si="20"/>
        <v>640741.62</v>
      </c>
      <c r="U18" s="11">
        <f>U17*0.2-0.01</f>
        <v>320370.8</v>
      </c>
      <c r="V18" s="10">
        <f>V17*0.2</f>
        <v>3844449.69</v>
      </c>
      <c r="W18" s="10">
        <f>V18+L18</f>
        <v>12857758.42</v>
      </c>
      <c r="X18" s="35"/>
      <c r="Y18" s="35"/>
    </row>
    <row r="19" spans="1:26" ht="22.5" customHeight="1" thickBot="1" x14ac:dyDescent="0.3">
      <c r="A19" s="4" t="s">
        <v>20</v>
      </c>
      <c r="B19" s="25"/>
      <c r="C19" s="26"/>
      <c r="D19" s="41"/>
      <c r="E19" s="54">
        <f>E17+E18</f>
        <v>9013308.7300000004</v>
      </c>
      <c r="F19" s="54">
        <f t="shared" ref="F19:K19" si="21">F17+F18</f>
        <v>9013308.7300000004</v>
      </c>
      <c r="G19" s="54">
        <f t="shared" si="21"/>
        <v>9013308.7300000004</v>
      </c>
      <c r="H19" s="54">
        <f t="shared" si="21"/>
        <v>4506654.3600000003</v>
      </c>
      <c r="I19" s="54">
        <f t="shared" si="21"/>
        <v>4506654.37</v>
      </c>
      <c r="J19" s="54">
        <f t="shared" si="21"/>
        <v>9013308.7300000004</v>
      </c>
      <c r="K19" s="54">
        <f t="shared" si="21"/>
        <v>9013308.7300000004</v>
      </c>
      <c r="L19" s="51">
        <f>L17*1.2</f>
        <v>54079852.380000003</v>
      </c>
      <c r="M19" s="7"/>
      <c r="N19" s="6"/>
      <c r="O19" s="27">
        <f>O17+O18</f>
        <v>1922224.81</v>
      </c>
      <c r="P19" s="27">
        <f t="shared" ref="P19:U19" si="22">P17+P18</f>
        <v>3844449.7</v>
      </c>
      <c r="Q19" s="27">
        <f t="shared" si="22"/>
        <v>3844449.7</v>
      </c>
      <c r="R19" s="27">
        <f t="shared" si="22"/>
        <v>3844449.7</v>
      </c>
      <c r="S19" s="27">
        <f t="shared" si="22"/>
        <v>3844449.7</v>
      </c>
      <c r="T19" s="27">
        <f t="shared" si="22"/>
        <v>3844449.7</v>
      </c>
      <c r="U19" s="27">
        <f t="shared" si="22"/>
        <v>1922224.85</v>
      </c>
      <c r="V19" s="6">
        <f>V17*1.2</f>
        <v>23066698.16</v>
      </c>
      <c r="W19" s="7">
        <f>W17*1.2</f>
        <v>77146550.540000007</v>
      </c>
      <c r="X19" s="35"/>
      <c r="Y19" s="35"/>
    </row>
    <row r="20" spans="1:26" ht="30" customHeight="1" x14ac:dyDescent="0.25">
      <c r="A20" s="56" t="s">
        <v>32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1:26" ht="9.75" customHeigh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6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26" ht="15.75" thickBot="1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6" x14ac:dyDescent="0.25">
      <c r="A24" s="58" t="s">
        <v>22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26" x14ac:dyDescent="0.25">
      <c r="A25" s="35"/>
    </row>
    <row r="26" spans="1:26" x14ac:dyDescent="0.25">
      <c r="A26" s="34" t="s">
        <v>23</v>
      </c>
      <c r="B26" s="34"/>
      <c r="C26" s="34"/>
      <c r="D26" s="34"/>
      <c r="E26" s="34"/>
      <c r="F26" s="34"/>
      <c r="G26" s="34"/>
      <c r="H26" s="34"/>
      <c r="I26" s="34"/>
    </row>
    <row r="27" spans="1:26" x14ac:dyDescent="0.25">
      <c r="A27" s="35"/>
    </row>
    <row r="28" spans="1:26" x14ac:dyDescent="0.25">
      <c r="A28" s="35"/>
    </row>
    <row r="29" spans="1:26" x14ac:dyDescent="0.25">
      <c r="A29" s="35"/>
    </row>
    <row r="30" spans="1:26" x14ac:dyDescent="0.25">
      <c r="A30" s="35"/>
    </row>
    <row r="31" spans="1:26" x14ac:dyDescent="0.25">
      <c r="A31" s="35"/>
    </row>
    <row r="32" spans="1:26" x14ac:dyDescent="0.25">
      <c r="A32" s="35"/>
    </row>
    <row r="33" spans="1:1" x14ac:dyDescent="0.25">
      <c r="A33" s="35"/>
    </row>
    <row r="34" spans="1:1" x14ac:dyDescent="0.25">
      <c r="A34" s="35"/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  <row r="38" spans="1:1" x14ac:dyDescent="0.25">
      <c r="A38" s="35"/>
    </row>
  </sheetData>
  <mergeCells count="11">
    <mergeCell ref="A20:W20"/>
    <mergeCell ref="A22:W22"/>
    <mergeCell ref="A24:L24"/>
    <mergeCell ref="A2:W2"/>
    <mergeCell ref="C3:K3"/>
    <mergeCell ref="M3:U3"/>
    <mergeCell ref="A3:A4"/>
    <mergeCell ref="B3:B4"/>
    <mergeCell ref="L3:L4"/>
    <mergeCell ref="V3:V4"/>
    <mergeCell ref="W3:W4"/>
  </mergeCells>
  <pageMargins left="0.23622047244094491" right="0.23622047244094491" top="0.19685039370078741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дороги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2020-10-21T12:31:46Z</dcterms:modified>
</cp:coreProperties>
</file>